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405" windowWidth="11355" windowHeight="8700" activeTab="1"/>
  </bookViews>
  <sheets>
    <sheet name="Cumulative Volume" sheetId="1" r:id="rId1"/>
    <sheet name="Write-up" sheetId="2" r:id="rId2"/>
    <sheet name="Sheet3" sheetId="3" r:id="rId3"/>
  </sheets>
  <definedNames>
    <definedName name="_xlnm.Print_Area" localSheetId="1">'Write-up'!$A$1:$G$47</definedName>
  </definedNames>
  <calcPr fullCalcOnLoad="1"/>
</workbook>
</file>

<file path=xl/sharedStrings.xml><?xml version="1.0" encoding="utf-8"?>
<sst xmlns="http://schemas.openxmlformats.org/spreadsheetml/2006/main" count="105" uniqueCount="81">
  <si>
    <t>DETENTION BASIN</t>
  </si>
  <si>
    <t>Cumulative Volume For Detention Pond</t>
  </si>
  <si>
    <t>C =</t>
  </si>
  <si>
    <t>A =</t>
  </si>
  <si>
    <t xml:space="preserve">Q(out) = </t>
  </si>
  <si>
    <t>time</t>
  </si>
  <si>
    <t>i</t>
  </si>
  <si>
    <t>Q</t>
  </si>
  <si>
    <t>Vol. in</t>
  </si>
  <si>
    <t>Vol. out</t>
  </si>
  <si>
    <t>Difference</t>
  </si>
  <si>
    <t>(min)</t>
  </si>
  <si>
    <t>(sec)</t>
  </si>
  <si>
    <t>(in./hr.)</t>
  </si>
  <si>
    <t>(cfs)</t>
  </si>
  <si>
    <t>(cf)</t>
  </si>
  <si>
    <t>Storm Runoff Calculations</t>
  </si>
  <si>
    <t>directions</t>
  </si>
  <si>
    <t>The following runoff calculations are based on the Rainfall - Intensity - Duration</t>
  </si>
  <si>
    <t>Runoff storm water has been calculated for two different sets of conditions, one</t>
  </si>
  <si>
    <t>being the existing undeveloped land and the other with land fully improved. The</t>
  </si>
  <si>
    <t>difference between the two quantities will be detained in a holding pond. All water</t>
  </si>
  <si>
    <t>that runs off and over the property at present will be diverted into the holding pond</t>
  </si>
  <si>
    <t>and released at a reduced rate into the existing drainage system.</t>
  </si>
  <si>
    <t>The calculations are as follows:</t>
  </si>
  <si>
    <t>1.  Runoff from the undeveloped existing land.</t>
  </si>
  <si>
    <t>Runoff Coefficient</t>
  </si>
  <si>
    <t>Rainfall Intensity</t>
  </si>
  <si>
    <t>i =</t>
  </si>
  <si>
    <t>IN./HR.</t>
  </si>
  <si>
    <t>Runoff Quantity</t>
  </si>
  <si>
    <t>Q =</t>
  </si>
  <si>
    <t>CiA</t>
  </si>
  <si>
    <t>Acreage</t>
  </si>
  <si>
    <t>ACRES</t>
  </si>
  <si>
    <t>Q(out)  =</t>
  </si>
  <si>
    <t>CFS</t>
  </si>
  <si>
    <t>change</t>
  </si>
  <si>
    <t>2. Runoff from developed land</t>
  </si>
  <si>
    <t>Runoff Coefficients</t>
  </si>
  <si>
    <t xml:space="preserve">Paved Area </t>
  </si>
  <si>
    <t>Landscaped Area</t>
  </si>
  <si>
    <t>Roof</t>
  </si>
  <si>
    <t>total</t>
  </si>
  <si>
    <t>Weighted Runoff Coefficient</t>
  </si>
  <si>
    <t xml:space="preserve"> </t>
  </si>
  <si>
    <t>varies with time</t>
  </si>
  <si>
    <t>3. Detention Basin</t>
  </si>
  <si>
    <t>Volume in</t>
  </si>
  <si>
    <t>Volume out</t>
  </si>
  <si>
    <t xml:space="preserve"> * t</t>
  </si>
  <si>
    <t>Orifice Sizing</t>
  </si>
  <si>
    <t>[input Q and Head]</t>
  </si>
  <si>
    <t>Q=</t>
  </si>
  <si>
    <t>The capacity of the detention basin is calculated as the maximum difference</t>
  </si>
  <si>
    <t>Head =</t>
  </si>
  <si>
    <t>between the volume flowing in and the volume flowing out.</t>
  </si>
  <si>
    <t>R =</t>
  </si>
  <si>
    <t>SQRT(Q/(1.948*(64.4*H)^0.5))</t>
  </si>
  <si>
    <t>The outflow from the detention basin is limited to outflow if undeveloped.</t>
  </si>
  <si>
    <t>feet</t>
  </si>
  <si>
    <t xml:space="preserve">Use </t>
  </si>
  <si>
    <t>cfs for Q outflow</t>
  </si>
  <si>
    <t>inches</t>
  </si>
  <si>
    <t>D =</t>
  </si>
  <si>
    <t xml:space="preserve">The required volume of the detention basin is </t>
  </si>
  <si>
    <t>cubic feet</t>
  </si>
  <si>
    <t xml:space="preserve">USE A </t>
  </si>
  <si>
    <t>INCH DIAMETER ORIFICE AT OUTLET</t>
  </si>
  <si>
    <t>Total Square Feet</t>
  </si>
  <si>
    <t>Required Volume of Detention Basin</t>
  </si>
  <si>
    <t>Assume TC=10 min</t>
  </si>
  <si>
    <t>NOAA Atlas14, using a 100 year storm.</t>
  </si>
  <si>
    <t>NOAA Atlas 14</t>
  </si>
  <si>
    <t>TC=30min</t>
  </si>
  <si>
    <t>per acre</t>
  </si>
  <si>
    <t>Blue Acres Subdivision - Phase 4</t>
  </si>
  <si>
    <t xml:space="preserve">Frequency Curve for the Weber County, UT area taken from data compiled by </t>
  </si>
  <si>
    <t>Weber County, UT area</t>
  </si>
  <si>
    <t>A*0.1</t>
  </si>
  <si>
    <t>SKT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</si>
</sst>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6">
    <font>
      <sz val="10"/>
      <name val="Arial"/>
      <family val="0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 Storage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605"/>
          <c:w val="0.676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'Cumulative Volume'!$E$9:$E$10</c:f>
              <c:strCache>
                <c:ptCount val="1"/>
                <c:pt idx="0">
                  <c:v>Vol. in (cf)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'Cumulative Volume'!$A$11:$A$19</c:f>
              <c:numCache/>
            </c:numRef>
          </c:cat>
          <c:val>
            <c:numRef>
              <c:f>'Cumulative Volume'!$E$11:$E$19</c:f>
              <c:numCache/>
            </c:numRef>
          </c:val>
          <c:smooth val="0"/>
        </c:ser>
        <c:ser>
          <c:idx val="1"/>
          <c:order val="1"/>
          <c:tx>
            <c:strRef>
              <c:f>'Cumulative Volume'!$F$9:$F$10</c:f>
              <c:strCache>
                <c:ptCount val="1"/>
                <c:pt idx="0">
                  <c:v>Vol. out (cf)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'Cumulative Volume'!$A$11:$A$19</c:f>
              <c:numCache/>
            </c:numRef>
          </c:cat>
          <c:val>
            <c:numRef>
              <c:f>'Cumulative Volume'!$F$11:$F$19</c:f>
              <c:numCache/>
            </c:numRef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Out (cf)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1"/>
        <c:lblOffset val="100"/>
        <c:tickLblSkip val="1"/>
        <c:noMultiLvlLbl val="0"/>
      </c:cat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In (cf)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9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40875"/>
          <c:w val="0.2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57150</xdr:rowOff>
    </xdr:from>
    <xdr:to>
      <xdr:col>6</xdr:col>
      <xdr:colOff>352425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3943350"/>
        <a:ext cx="4019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28" sqref="J28"/>
    </sheetView>
  </sheetViews>
  <sheetFormatPr defaultColWidth="9.140625" defaultRowHeight="12.75"/>
  <cols>
    <col min="6" max="6" width="10.57421875" style="0" bestFit="1" customWidth="1"/>
    <col min="7" max="7" width="11.140625" style="0" bestFit="1" customWidth="1"/>
  </cols>
  <sheetData>
    <row r="1" spans="1:9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ht="12.75">
      <c r="B2" t="s">
        <v>1</v>
      </c>
    </row>
    <row r="3" ht="12.75">
      <c r="B3" t="str">
        <f>'Write-up'!A2</f>
        <v>Blue Acres Subdivision - Phase 4</v>
      </c>
    </row>
    <row r="4" spans="1:2" ht="12.75">
      <c r="A4" s="1" t="s">
        <v>2</v>
      </c>
      <c r="B4" s="4">
        <f>'Write-up'!G30</f>
        <v>0.3328</v>
      </c>
    </row>
    <row r="5" spans="1:2" ht="12.75">
      <c r="A5" s="1" t="s">
        <v>3</v>
      </c>
      <c r="B5" s="4">
        <f>'Write-up'!E20</f>
        <v>6.400987144168963</v>
      </c>
    </row>
    <row r="6" spans="1:2" ht="12.75">
      <c r="A6" s="1" t="s">
        <v>4</v>
      </c>
      <c r="B6" s="4">
        <f>'Write-up'!E22</f>
        <v>0.6400987144168964</v>
      </c>
    </row>
    <row r="9" spans="1:7" ht="12.75">
      <c r="A9" s="1" t="s">
        <v>5</v>
      </c>
      <c r="B9" s="1" t="s">
        <v>5</v>
      </c>
      <c r="C9" s="2" t="s">
        <v>6</v>
      </c>
      <c r="D9" s="1" t="s">
        <v>7</v>
      </c>
      <c r="E9" s="1" t="s">
        <v>8</v>
      </c>
      <c r="F9" s="1" t="s">
        <v>9</v>
      </c>
      <c r="G9" s="1" t="s">
        <v>10</v>
      </c>
    </row>
    <row r="10" spans="1:7" ht="12.75">
      <c r="A10" s="1" t="s">
        <v>11</v>
      </c>
      <c r="B10" s="1" t="s">
        <v>12</v>
      </c>
      <c r="C10" s="2" t="s">
        <v>13</v>
      </c>
      <c r="D10" s="1" t="s">
        <v>14</v>
      </c>
      <c r="E10" s="1" t="s">
        <v>15</v>
      </c>
      <c r="F10" s="1" t="s">
        <v>15</v>
      </c>
      <c r="G10" s="1" t="s">
        <v>15</v>
      </c>
    </row>
    <row r="11" spans="1:7" ht="12.75">
      <c r="A11">
        <v>0</v>
      </c>
      <c r="B11">
        <f>A11*60</f>
        <v>0</v>
      </c>
      <c r="C11" s="21">
        <v>0</v>
      </c>
      <c r="D11" s="4">
        <f>$B$4*$B$5*C11</f>
        <v>0</v>
      </c>
      <c r="E11" s="4">
        <f>D11*B11</f>
        <v>0</v>
      </c>
      <c r="F11" s="4">
        <f>$B$6*B11</f>
        <v>0</v>
      </c>
      <c r="G11" s="4">
        <f>E11-F11</f>
        <v>0</v>
      </c>
    </row>
    <row r="12" spans="1:7" ht="12.75">
      <c r="A12">
        <v>5</v>
      </c>
      <c r="B12">
        <f aca="true" t="shared" si="0" ref="B12:B20">A12*60</f>
        <v>300</v>
      </c>
      <c r="C12" s="21">
        <v>6.64</v>
      </c>
      <c r="D12" s="4">
        <f>$B$4*$B$5*C12</f>
        <v>14.144850183287419</v>
      </c>
      <c r="E12" s="4">
        <f>D12*B12</f>
        <v>4243.455054986226</v>
      </c>
      <c r="F12" s="4">
        <f>$B$6*B12</f>
        <v>192.0296143250689</v>
      </c>
      <c r="G12" s="4">
        <f aca="true" t="shared" si="1" ref="G12:G20">E12-F12</f>
        <v>4051.425440661157</v>
      </c>
    </row>
    <row r="13" spans="1:14" ht="12.75">
      <c r="A13">
        <v>10</v>
      </c>
      <c r="B13">
        <f t="shared" si="0"/>
        <v>600</v>
      </c>
      <c r="C13" s="21">
        <v>5.05</v>
      </c>
      <c r="D13" s="4">
        <f aca="true" t="shared" si="2" ref="D13:D20">$B$4*$B$5*C13</f>
        <v>10.757755033976125</v>
      </c>
      <c r="E13" s="4">
        <f aca="true" t="shared" si="3" ref="E13:E20">D13*B13</f>
        <v>6454.653020385675</v>
      </c>
      <c r="F13" s="4">
        <f aca="true" t="shared" si="4" ref="F13:F20">$B$6*B13</f>
        <v>384.0592286501378</v>
      </c>
      <c r="G13" s="4">
        <f t="shared" si="1"/>
        <v>6070.593791735537</v>
      </c>
      <c r="J13" t="s">
        <v>70</v>
      </c>
      <c r="N13" s="10">
        <f>MAX(G11:G19)</f>
        <v>11039.521367272726</v>
      </c>
    </row>
    <row r="14" spans="1:7" ht="12.75">
      <c r="A14">
        <v>15</v>
      </c>
      <c r="B14">
        <f t="shared" si="0"/>
        <v>900</v>
      </c>
      <c r="C14" s="21">
        <v>4.17</v>
      </c>
      <c r="D14" s="4">
        <f t="shared" si="2"/>
        <v>8.883136334986226</v>
      </c>
      <c r="E14" s="4">
        <f t="shared" si="3"/>
        <v>7994.822701487603</v>
      </c>
      <c r="F14" s="4">
        <f t="shared" si="4"/>
        <v>576.0888429752067</v>
      </c>
      <c r="G14" s="4">
        <f t="shared" si="1"/>
        <v>7418.733858512396</v>
      </c>
    </row>
    <row r="15" spans="1:7" ht="12.75">
      <c r="A15">
        <v>30</v>
      </c>
      <c r="B15">
        <f t="shared" si="0"/>
        <v>1800</v>
      </c>
      <c r="C15" s="21">
        <v>2.81</v>
      </c>
      <c r="D15" s="4">
        <f t="shared" si="2"/>
        <v>5.9859983456382</v>
      </c>
      <c r="E15" s="4">
        <f t="shared" si="3"/>
        <v>10774.797022148761</v>
      </c>
      <c r="F15" s="4">
        <f t="shared" si="4"/>
        <v>1152.1776859504134</v>
      </c>
      <c r="G15" s="4">
        <f t="shared" si="1"/>
        <v>9622.619336198348</v>
      </c>
    </row>
    <row r="16" spans="1:7" ht="12.75">
      <c r="A16">
        <v>60</v>
      </c>
      <c r="B16">
        <f t="shared" si="0"/>
        <v>3600</v>
      </c>
      <c r="C16" s="21">
        <v>1.74</v>
      </c>
      <c r="D16" s="4">
        <f>$B$4*$B$5*C16</f>
        <v>3.706632427548209</v>
      </c>
      <c r="E16" s="4">
        <f>D16*B16</f>
        <v>13343.876739173553</v>
      </c>
      <c r="F16" s="4">
        <f>$B$6*B16</f>
        <v>2304.355371900827</v>
      </c>
      <c r="G16" s="4">
        <f t="shared" si="1"/>
        <v>11039.521367272726</v>
      </c>
    </row>
    <row r="17" spans="1:7" ht="12.75">
      <c r="A17">
        <v>120</v>
      </c>
      <c r="B17">
        <f t="shared" si="0"/>
        <v>7200</v>
      </c>
      <c r="C17" s="21">
        <v>0.953</v>
      </c>
      <c r="D17" s="4">
        <f t="shared" si="2"/>
        <v>2.030126841065197</v>
      </c>
      <c r="E17" s="4">
        <f t="shared" si="3"/>
        <v>14616.91325566942</v>
      </c>
      <c r="F17" s="4">
        <f t="shared" si="4"/>
        <v>4608.710743801654</v>
      </c>
      <c r="G17" s="4">
        <f t="shared" si="1"/>
        <v>10008.202511867767</v>
      </c>
    </row>
    <row r="18" spans="1:7" ht="12.75">
      <c r="A18">
        <v>180</v>
      </c>
      <c r="B18">
        <f t="shared" si="0"/>
        <v>10800</v>
      </c>
      <c r="C18" s="21">
        <v>0.651</v>
      </c>
      <c r="D18" s="4">
        <f t="shared" si="2"/>
        <v>1.3867917875482094</v>
      </c>
      <c r="E18" s="4">
        <f t="shared" si="3"/>
        <v>14977.351305520662</v>
      </c>
      <c r="F18" s="4">
        <f t="shared" si="4"/>
        <v>6913.066115702481</v>
      </c>
      <c r="G18" s="4">
        <f t="shared" si="1"/>
        <v>8064.285189818182</v>
      </c>
    </row>
    <row r="19" spans="1:7" ht="12.75">
      <c r="A19">
        <v>360</v>
      </c>
      <c r="B19">
        <f t="shared" si="0"/>
        <v>21600</v>
      </c>
      <c r="C19" s="21">
        <v>0.363</v>
      </c>
      <c r="D19" s="4">
        <f t="shared" si="2"/>
        <v>0.7732802133333333</v>
      </c>
      <c r="E19" s="4">
        <f t="shared" si="3"/>
        <v>16702.852608</v>
      </c>
      <c r="F19" s="4">
        <f t="shared" si="4"/>
        <v>13826.132231404961</v>
      </c>
      <c r="G19" s="4">
        <f t="shared" si="1"/>
        <v>2876.72037659504</v>
      </c>
    </row>
    <row r="20" spans="1:7" ht="12.75">
      <c r="A20">
        <v>1440</v>
      </c>
      <c r="B20">
        <f t="shared" si="0"/>
        <v>86400</v>
      </c>
      <c r="C20" s="21">
        <v>0.125</v>
      </c>
      <c r="D20" s="4">
        <f t="shared" si="2"/>
        <v>0.26628106519742883</v>
      </c>
      <c r="E20" s="4">
        <f t="shared" si="3"/>
        <v>23006.684033057853</v>
      </c>
      <c r="F20" s="4">
        <f t="shared" si="4"/>
        <v>55304.528925619845</v>
      </c>
      <c r="G20" s="4">
        <f t="shared" si="1"/>
        <v>-32297.844892561992</v>
      </c>
    </row>
    <row r="21" spans="3:5" ht="12.75">
      <c r="C21" s="3" t="s">
        <v>78</v>
      </c>
      <c r="D21" s="3"/>
      <c r="E21" s="3"/>
    </row>
    <row r="22" spans="3:5" ht="12.75">
      <c r="C22" s="3" t="s">
        <v>73</v>
      </c>
      <c r="D22" s="3"/>
      <c r="E22" s="3"/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G48" sqref="A1:G48"/>
    </sheetView>
  </sheetViews>
  <sheetFormatPr defaultColWidth="9.140625" defaultRowHeight="12.75"/>
  <cols>
    <col min="1" max="1" width="8.421875" style="0" customWidth="1"/>
    <col min="2" max="2" width="17.8515625" style="0" customWidth="1"/>
    <col min="4" max="4" width="17.57421875" style="0" customWidth="1"/>
    <col min="5" max="5" width="8.7109375" style="0" customWidth="1"/>
  </cols>
  <sheetData>
    <row r="1" spans="1:11" ht="20.25">
      <c r="A1" s="5" t="s">
        <v>16</v>
      </c>
      <c r="K1" t="s">
        <v>17</v>
      </c>
    </row>
    <row r="2" ht="15.75">
      <c r="A2" s="6" t="s">
        <v>76</v>
      </c>
    </row>
    <row r="3" spans="2:3" ht="12.75">
      <c r="B3" s="7">
        <v>42235</v>
      </c>
      <c r="C3" s="8" t="s">
        <v>80</v>
      </c>
    </row>
    <row r="5" ht="12.75">
      <c r="A5" t="s">
        <v>18</v>
      </c>
    </row>
    <row r="6" ht="12.75">
      <c r="A6" s="12" t="s">
        <v>77</v>
      </c>
    </row>
    <row r="7" ht="12.75">
      <c r="A7" t="s">
        <v>72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  <row r="15" spans="1:18" ht="12.75">
      <c r="A15" t="s">
        <v>24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t="s">
        <v>25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2.75">
      <c r="B17" t="s">
        <v>26</v>
      </c>
      <c r="D17" s="14" t="s">
        <v>2</v>
      </c>
      <c r="E17" s="20">
        <v>0.2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 ht="12.75">
      <c r="B18" t="s">
        <v>27</v>
      </c>
      <c r="D18" s="14" t="s">
        <v>28</v>
      </c>
      <c r="E18" s="15">
        <v>2.81</v>
      </c>
      <c r="F18" s="12" t="s">
        <v>29</v>
      </c>
      <c r="G18" s="12"/>
      <c r="H18" s="12"/>
      <c r="I18" s="12"/>
      <c r="J18" s="12" t="s">
        <v>74</v>
      </c>
      <c r="K18" s="12"/>
      <c r="L18" s="12" t="s">
        <v>71</v>
      </c>
      <c r="M18" s="12"/>
      <c r="N18" s="12"/>
      <c r="O18" s="12"/>
      <c r="P18" s="12"/>
      <c r="Q18" s="12"/>
      <c r="R18" s="12"/>
    </row>
    <row r="19" spans="2:18" ht="12.75">
      <c r="B19" t="s">
        <v>30</v>
      </c>
      <c r="D19" s="14" t="s">
        <v>31</v>
      </c>
      <c r="E19" s="14">
        <v>0.1</v>
      </c>
      <c r="F19" s="12" t="s">
        <v>75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18" ht="12.75">
      <c r="B20" t="s">
        <v>33</v>
      </c>
      <c r="D20" s="14" t="s">
        <v>3</v>
      </c>
      <c r="E20" s="15">
        <f>L24/43560</f>
        <v>6.400987144168963</v>
      </c>
      <c r="F20" s="12" t="s">
        <v>34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4:18" ht="12.7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3:18" ht="12.75">
      <c r="C22" t="s">
        <v>35</v>
      </c>
      <c r="D22" s="12" t="s">
        <v>79</v>
      </c>
      <c r="E22" s="16">
        <f>E20*0.1</f>
        <v>0.6400987144168964</v>
      </c>
      <c r="F22" s="12" t="s">
        <v>36</v>
      </c>
      <c r="G22" s="12"/>
      <c r="H22" s="12"/>
      <c r="I22" s="12"/>
      <c r="J22" s="12"/>
      <c r="K22" s="12"/>
      <c r="L22" s="12"/>
      <c r="M22" s="12"/>
      <c r="N22" s="12" t="s">
        <v>37</v>
      </c>
      <c r="O22" s="12"/>
      <c r="P22" s="12"/>
      <c r="Q22" s="12"/>
      <c r="R22" s="12"/>
    </row>
    <row r="23" spans="4:18" ht="12.75">
      <c r="D23" s="13" t="s">
        <v>45</v>
      </c>
      <c r="E23" s="12"/>
      <c r="F23" s="12"/>
      <c r="G23" s="12"/>
      <c r="H23" s="12"/>
      <c r="I23" s="12"/>
      <c r="J23" s="12"/>
      <c r="K23" s="12"/>
      <c r="L23" s="12" t="s">
        <v>69</v>
      </c>
      <c r="M23" s="12"/>
      <c r="N23" s="12"/>
      <c r="O23" s="12"/>
      <c r="P23" s="12"/>
      <c r="Q23" s="12"/>
      <c r="R23" s="12"/>
    </row>
    <row r="24" spans="1:18" ht="12.75">
      <c r="A24" t="s">
        <v>38</v>
      </c>
      <c r="D24" s="12"/>
      <c r="E24" s="12"/>
      <c r="F24" s="12"/>
      <c r="G24" s="12"/>
      <c r="H24" s="12"/>
      <c r="I24" s="12"/>
      <c r="J24" s="12"/>
      <c r="K24" s="12"/>
      <c r="L24" s="12">
        <f>SUM(E26:E28)</f>
        <v>278827</v>
      </c>
      <c r="M24" s="12"/>
      <c r="N24" s="12"/>
      <c r="O24" s="12"/>
      <c r="P24" s="12"/>
      <c r="Q24" s="12"/>
      <c r="R24" s="12"/>
    </row>
    <row r="25" spans="2:18" ht="12.75">
      <c r="B25" t="s">
        <v>39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3:18" ht="12.75">
      <c r="C26" t="s">
        <v>40</v>
      </c>
      <c r="D26" s="12"/>
      <c r="E26" s="17">
        <f>L29*0.11</f>
        <v>30670.97</v>
      </c>
      <c r="F26" s="14" t="s">
        <v>2</v>
      </c>
      <c r="G26" s="18">
        <v>0.9</v>
      </c>
      <c r="H26" s="12"/>
      <c r="I26" s="12"/>
      <c r="J26" s="12"/>
      <c r="K26" s="12"/>
      <c r="L26" s="12"/>
      <c r="M26" s="12"/>
      <c r="N26" s="12" t="s">
        <v>37</v>
      </c>
      <c r="O26" s="12"/>
      <c r="P26" s="12"/>
      <c r="Q26" s="12"/>
      <c r="R26" s="12"/>
    </row>
    <row r="27" spans="3:18" ht="12.75">
      <c r="C27" t="s">
        <v>41</v>
      </c>
      <c r="D27" s="12"/>
      <c r="E27" s="17">
        <f>L29*0.797</f>
        <v>222225.119</v>
      </c>
      <c r="F27" s="14" t="s">
        <v>2</v>
      </c>
      <c r="G27" s="18">
        <v>0.2</v>
      </c>
      <c r="H27" s="12"/>
      <c r="I27" s="12"/>
      <c r="J27" s="12"/>
      <c r="K27" s="12"/>
      <c r="L27" s="12"/>
      <c r="M27" s="12"/>
      <c r="N27" s="12" t="s">
        <v>37</v>
      </c>
      <c r="O27" s="12"/>
      <c r="P27" s="12"/>
      <c r="Q27" s="12"/>
      <c r="R27" s="12"/>
    </row>
    <row r="28" spans="3:18" ht="12.75">
      <c r="C28" t="s">
        <v>42</v>
      </c>
      <c r="D28" s="12"/>
      <c r="E28" s="17">
        <f>L29*0.093</f>
        <v>25930.911</v>
      </c>
      <c r="F28" s="14" t="s">
        <v>2</v>
      </c>
      <c r="G28" s="18">
        <v>0.8</v>
      </c>
      <c r="H28" s="12"/>
      <c r="I28" s="12"/>
      <c r="J28" s="12"/>
      <c r="K28" s="12"/>
      <c r="L28" s="12" t="s">
        <v>43</v>
      </c>
      <c r="M28" s="12"/>
      <c r="N28" s="12" t="s">
        <v>37</v>
      </c>
      <c r="O28" s="12"/>
      <c r="P28" s="12"/>
      <c r="Q28" s="12"/>
      <c r="R28" s="12"/>
    </row>
    <row r="29" spans="4:18" ht="12.75">
      <c r="D29" s="12"/>
      <c r="E29" s="12"/>
      <c r="F29" s="12"/>
      <c r="G29" s="12"/>
      <c r="H29" s="12"/>
      <c r="I29" s="12"/>
      <c r="J29" s="12"/>
      <c r="K29" s="12"/>
      <c r="L29" s="12">
        <v>278827</v>
      </c>
      <c r="M29" s="12"/>
      <c r="N29" s="12"/>
      <c r="O29" s="12"/>
      <c r="P29" s="12"/>
      <c r="Q29" s="12"/>
      <c r="R29" s="12"/>
    </row>
    <row r="30" spans="2:18" ht="12.75">
      <c r="B30" t="s">
        <v>44</v>
      </c>
      <c r="D30" s="12"/>
      <c r="E30" s="12"/>
      <c r="F30" s="14" t="s">
        <v>2</v>
      </c>
      <c r="G30" s="19">
        <f>(E26*G26+E27*G27+E28*G28)/SUM(E26:E28)</f>
        <v>0.3328</v>
      </c>
      <c r="H30" s="12" t="s">
        <v>45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4:18" ht="12.75">
      <c r="D31" s="12"/>
      <c r="E31" s="12"/>
      <c r="F31" s="12"/>
      <c r="G31" s="12" t="s">
        <v>45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ht="12.75">
      <c r="B32" t="s">
        <v>27</v>
      </c>
      <c r="D32" s="14" t="s">
        <v>28</v>
      </c>
      <c r="E32" s="12" t="s">
        <v>46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12.75">
      <c r="B33" t="s">
        <v>30</v>
      </c>
      <c r="D33" s="14" t="s">
        <v>31</v>
      </c>
      <c r="E33" s="12" t="s">
        <v>32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4:18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t="s">
        <v>47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12.75">
      <c r="B36" t="s">
        <v>48</v>
      </c>
      <c r="D36" s="14" t="s">
        <v>7</v>
      </c>
      <c r="E36" s="12" t="s">
        <v>50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2.75">
      <c r="B37" t="s">
        <v>49</v>
      </c>
      <c r="D37" s="16">
        <f>E22</f>
        <v>0.6400987144168964</v>
      </c>
      <c r="E37" s="12" t="s">
        <v>50</v>
      </c>
      <c r="F37" s="12"/>
      <c r="G37" s="12"/>
      <c r="H37" s="12"/>
      <c r="I37" s="12"/>
      <c r="J37" s="12"/>
      <c r="K37" s="12"/>
      <c r="L37" s="12"/>
      <c r="M37" s="12"/>
      <c r="N37" s="12" t="s">
        <v>51</v>
      </c>
      <c r="O37" s="12"/>
      <c r="P37" s="12"/>
      <c r="Q37" s="12" t="s">
        <v>52</v>
      </c>
      <c r="R37" s="12"/>
    </row>
    <row r="38" spans="4:18" ht="12.7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 t="s">
        <v>53</v>
      </c>
      <c r="O38" s="16">
        <f>E22</f>
        <v>0.6400987144168964</v>
      </c>
      <c r="P38" s="12"/>
      <c r="Q38" s="12"/>
      <c r="R38" s="12"/>
    </row>
    <row r="39" spans="1:18" ht="12.75">
      <c r="A39" t="s">
        <v>54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 t="s">
        <v>55</v>
      </c>
      <c r="O39" s="12">
        <v>3</v>
      </c>
      <c r="P39" s="12"/>
      <c r="Q39" s="12"/>
      <c r="R39" s="12"/>
    </row>
    <row r="40" spans="1:18" ht="12.75">
      <c r="A40" t="s">
        <v>56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 t="s">
        <v>57</v>
      </c>
      <c r="O40" s="12" t="s">
        <v>58</v>
      </c>
      <c r="P40" s="12"/>
      <c r="Q40" s="12"/>
      <c r="R40" s="12"/>
    </row>
    <row r="41" spans="4:18" ht="12.75"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>
      <c r="A42" t="s">
        <v>59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 t="s">
        <v>57</v>
      </c>
      <c r="O42" s="12">
        <f>SQRT(O38/(1.948*(64.4*O39)^0.5))</f>
        <v>0.15375428239961572</v>
      </c>
      <c r="P42" s="12" t="s">
        <v>60</v>
      </c>
      <c r="Q42" s="12"/>
      <c r="R42" s="12"/>
    </row>
    <row r="43" spans="1:16" ht="12.75">
      <c r="A43" t="s">
        <v>61</v>
      </c>
      <c r="B43" s="4">
        <f>E22</f>
        <v>0.6400987144168964</v>
      </c>
      <c r="C43" t="s">
        <v>62</v>
      </c>
      <c r="O43">
        <f>O42*12</f>
        <v>1.8450513887953885</v>
      </c>
      <c r="P43" t="s">
        <v>63</v>
      </c>
    </row>
    <row r="44" spans="14:16" ht="12.75">
      <c r="N44" t="s">
        <v>64</v>
      </c>
      <c r="O44">
        <f>O43*2</f>
        <v>3.690102777590777</v>
      </c>
      <c r="P44" t="s">
        <v>63</v>
      </c>
    </row>
    <row r="45" spans="1:16" ht="15.75">
      <c r="A45" s="6" t="s">
        <v>65</v>
      </c>
      <c r="E45" s="9">
        <f>'Cumulative Volume'!N13</f>
        <v>11039.521367272726</v>
      </c>
      <c r="F45" s="6" t="s">
        <v>66</v>
      </c>
      <c r="O45">
        <f>O44/12</f>
        <v>0.30750856479923144</v>
      </c>
      <c r="P45" t="s">
        <v>60</v>
      </c>
    </row>
    <row r="47" spans="1:6" ht="15.75">
      <c r="A47" s="6" t="s">
        <v>67</v>
      </c>
      <c r="B47" s="11">
        <f>O44</f>
        <v>3.690102777590777</v>
      </c>
      <c r="C47" s="6" t="s">
        <v>68</v>
      </c>
      <c r="D47" s="6"/>
      <c r="E47" s="6"/>
      <c r="F47" s="6"/>
    </row>
    <row r="49" ht="12.75">
      <c r="A49" t="s">
        <v>45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Reeve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staggart</dc:creator>
  <cp:keywords/>
  <dc:description/>
  <cp:lastModifiedBy>Shane Taggart</cp:lastModifiedBy>
  <cp:lastPrinted>2015-08-19T21:48:36Z</cp:lastPrinted>
  <dcterms:created xsi:type="dcterms:W3CDTF">2010-09-07T15:48:18Z</dcterms:created>
  <dcterms:modified xsi:type="dcterms:W3CDTF">2015-08-19T21:54:22Z</dcterms:modified>
  <cp:category/>
  <cp:version/>
  <cp:contentType/>
  <cp:contentStatus/>
</cp:coreProperties>
</file>